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ccqldeduau-my.sharepoint.com/personal/365admin_accqldeduau_onmicrosoft_com/Documents/Data/Resources/Finance/2026/Fee Info/"/>
    </mc:Choice>
  </mc:AlternateContent>
  <xr:revisionPtr revIDLastSave="134" documentId="8_{E83BDB12-A634-4152-96C8-95D93CE118F2}" xr6:coauthVersionLast="47" xr6:coauthVersionMax="47" xr10:uidLastSave="{7879B4DD-FC9F-4D77-8B10-550843DCB943}"/>
  <bookViews>
    <workbookView xWindow="-120" yWindow="-120" windowWidth="29040" windowHeight="15720" firstSheet="2" activeTab="2" xr2:uid="{00000000-000D-0000-FFFF-FFFF00000000}"/>
  </bookViews>
  <sheets>
    <sheet name="PPlan Summary" sheetId="4" state="hidden" r:id="rId1"/>
    <sheet name="Calculator" sheetId="1" state="hidden" r:id="rId2"/>
    <sheet name="Calculator2" sheetId="5" r:id="rId3"/>
    <sheet name="Source Data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21" i="2"/>
  <c r="B20" i="2"/>
  <c r="B19" i="2"/>
  <c r="B18" i="2"/>
  <c r="B17" i="2"/>
  <c r="D16" i="5"/>
  <c r="C2" i="2"/>
  <c r="D8" i="5"/>
  <c r="D9" i="5"/>
  <c r="D7" i="5"/>
  <c r="D6" i="5"/>
  <c r="D5" i="5"/>
  <c r="C6" i="2"/>
  <c r="D22" i="5"/>
  <c r="D21" i="5"/>
  <c r="D20" i="5"/>
  <c r="D17" i="5"/>
  <c r="D15" i="5"/>
  <c r="D4" i="5"/>
  <c r="D11" i="5" l="1"/>
  <c r="D12" i="5"/>
  <c r="D26" i="5" s="1"/>
  <c r="D30" i="5" l="1"/>
  <c r="D29" i="5"/>
  <c r="D31" i="5"/>
  <c r="D4" i="1" l="1"/>
  <c r="C12" i="2"/>
  <c r="C11" i="2"/>
  <c r="B12" i="4"/>
  <c r="D25" i="4" l="1"/>
  <c r="B6" i="4"/>
  <c r="E25" i="4" l="1"/>
  <c r="C25" i="4"/>
  <c r="C3" i="2"/>
  <c r="C4" i="2"/>
  <c r="C5" i="2"/>
  <c r="C7" i="2"/>
  <c r="C21" i="2" l="1"/>
  <c r="D21" i="2" s="1"/>
  <c r="C20" i="2"/>
  <c r="D20" i="2" s="1"/>
  <c r="C18" i="2"/>
  <c r="D18" i="2" s="1"/>
  <c r="C17" i="2"/>
  <c r="D17" i="2" s="1"/>
  <c r="C19" i="2"/>
  <c r="D19" i="2" s="1"/>
  <c r="C14" i="2" l="1"/>
  <c r="B4" i="4" l="1"/>
  <c r="D6" i="4"/>
  <c r="D4" i="4"/>
  <c r="D12" i="4" l="1"/>
  <c r="D20" i="1"/>
  <c r="D21" i="1"/>
  <c r="D22" i="1"/>
  <c r="D13" i="4" l="1"/>
  <c r="D15" i="1"/>
  <c r="D9" i="4" l="1"/>
  <c r="D17" i="1"/>
  <c r="D11" i="4" l="1"/>
  <c r="D16" i="1"/>
  <c r="D10" i="4" l="1"/>
  <c r="L3" i="1"/>
  <c r="M3" i="1" s="1"/>
  <c r="D9" i="1"/>
  <c r="D8" i="1"/>
  <c r="D7" i="1"/>
  <c r="D6" i="1"/>
  <c r="D5" i="1"/>
  <c r="D11" i="1" l="1"/>
  <c r="D12" i="1" s="1"/>
  <c r="D26" i="1" s="1"/>
  <c r="D5" i="4" l="1"/>
  <c r="D15" i="4" s="1"/>
</calcChain>
</file>

<file path=xl/sharedStrings.xml><?xml version="1.0" encoding="utf-8"?>
<sst xmlns="http://schemas.openxmlformats.org/spreadsheetml/2006/main" count="116" uniqueCount="69">
  <si>
    <t>Parent</t>
  </si>
  <si>
    <t>2024 Tuition Fees</t>
  </si>
  <si>
    <t>Other Fees (where applicable)</t>
  </si>
  <si>
    <t>Cert III in Sport &amp; Rec</t>
  </si>
  <si>
    <t>Aquatic Practices</t>
  </si>
  <si>
    <t>Laptop Levies</t>
  </si>
  <si>
    <t>Music Lessons</t>
  </si>
  <si>
    <t>PROJECTED TOTAL OWING</t>
  </si>
  <si>
    <t>Quarterly Instalments</t>
  </si>
  <si>
    <t>(due by Week 2 of each Term)</t>
  </si>
  <si>
    <t>Amt Due</t>
  </si>
  <si>
    <t>Amt Paid</t>
  </si>
  <si>
    <t>Bal.Owing</t>
  </si>
  <si>
    <t>Term 1</t>
  </si>
  <si>
    <t>Term 2</t>
  </si>
  <si>
    <t>Term 3</t>
  </si>
  <si>
    <t>Term 4</t>
  </si>
  <si>
    <t>2024 School Fee Calculator</t>
  </si>
  <si>
    <t>Please complete green areas only</t>
  </si>
  <si>
    <t>Primary/Secondary</t>
  </si>
  <si>
    <t>Annual Tuition Fees</t>
  </si>
  <si>
    <r>
      <t xml:space="preserve">Student 1 </t>
    </r>
    <r>
      <rPr>
        <i/>
        <sz val="11"/>
        <color theme="1"/>
        <rFont val="Calibri"/>
        <family val="2"/>
        <scheme val="minor"/>
      </rPr>
      <t>(oldest</t>
    </r>
    <r>
      <rPr>
        <sz val="11"/>
        <color theme="1"/>
        <rFont val="Calibri"/>
        <family val="2"/>
        <scheme val="minor"/>
      </rPr>
      <t>)</t>
    </r>
  </si>
  <si>
    <t>Secondary</t>
  </si>
  <si>
    <t>Student 2</t>
  </si>
  <si>
    <t>Student 3</t>
  </si>
  <si>
    <t>Please select</t>
  </si>
  <si>
    <t>Student 4</t>
  </si>
  <si>
    <t>Student 5</t>
  </si>
  <si>
    <t>Student 6</t>
  </si>
  <si>
    <t>Resources levy (replaces existing Building Fund levy)</t>
  </si>
  <si>
    <t>TOTAL TUITION FEE:</t>
  </si>
  <si>
    <t>Additional costs</t>
  </si>
  <si>
    <t>Sport &amp; Recreation</t>
  </si>
  <si>
    <t>Laptop Levy</t>
  </si>
  <si>
    <t>Music Tutoring</t>
  </si>
  <si>
    <t>1st instrument</t>
  </si>
  <si>
    <t>2nd instrument</t>
  </si>
  <si>
    <t>3rd instrument</t>
  </si>
  <si>
    <t>Acct balance as at 01-01-24</t>
  </si>
  <si>
    <t>Enrolment Deposit (if applicable)</t>
  </si>
  <si>
    <t>TOTAL Indicative costs for 2024</t>
  </si>
  <si>
    <t>Prep</t>
  </si>
  <si>
    <t>Kindy - 5 days/fnight</t>
  </si>
  <si>
    <t>Resources levy</t>
  </si>
  <si>
    <t>Acct balance as at 01-01-25</t>
  </si>
  <si>
    <t>FACTS Direct debit plan</t>
  </si>
  <si>
    <t>Weekly plan</t>
  </si>
  <si>
    <t>Fortnightly plan</t>
  </si>
  <si>
    <t>Monthly plan</t>
  </si>
  <si>
    <t>Fees</t>
  </si>
  <si>
    <t>Discounts</t>
  </si>
  <si>
    <t>Primary Yr 3-6</t>
  </si>
  <si>
    <t>Primary Yr 1&amp; 2</t>
  </si>
  <si>
    <t>Kindy - 5 days/week</t>
  </si>
  <si>
    <t>Subject levies</t>
  </si>
  <si>
    <t>Per Year</t>
  </si>
  <si>
    <t>Per Term</t>
  </si>
  <si>
    <t>Aquatic Prac</t>
  </si>
  <si>
    <t>Music</t>
  </si>
  <si>
    <t>15 min Individual lesson</t>
  </si>
  <si>
    <t>30 min individual lesson</t>
  </si>
  <si>
    <t>45 min individual lesson</t>
  </si>
  <si>
    <t>60 min individual lesson</t>
  </si>
  <si>
    <t>30 minute shared lesson</t>
  </si>
  <si>
    <t>Aviation</t>
  </si>
  <si>
    <t>TOTAL Indicative costs for 2026</t>
  </si>
  <si>
    <t>2026 School Fee Calculator</t>
  </si>
  <si>
    <t>Cert Program Subject Levies</t>
  </si>
  <si>
    <t>Sports &amp; Recreation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</si>
</sst>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&quot;$&quot;* #,##0.000_-;\-&quot;$&quot;* #,##0.000_-;_-&quot;$&quot;* &quot;-&quot;??_-;_-@_-"/>
    <numFmt numFmtId="166" formatCode="_-&quot;$&quot;* #,##0.000000_-;\-&quot;$&quot;* #,##0.000000_-;_-&quot;$&quot;* &quot;-&quot;??_-;_-@_-"/>
    <numFmt numFmtId="167" formatCode="_-&quot;$&quot;* #,##0_-;\-&quot;$&quot;* #,##0_-;_-&quot;$&quot;* &quot;-&quot;??_-;_-@_-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u/>
      <sz val="10"/>
      <name val="Arial"/>
      <family val="2"/>
    </font>
    <font>
      <b/>
      <sz val="10"/>
      <color rgb="FF00B050"/>
      <name val="Arial"/>
      <family val="2"/>
    </font>
    <font>
      <sz val="8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0F577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2F8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12" fillId="0" borderId="0"/>
    <xf numFmtId="44" fontId="1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0" fillId="2" borderId="0" xfId="0" applyFill="1" applyAlignment="1">
      <alignment wrapText="1"/>
    </xf>
    <xf numFmtId="0" fontId="6" fillId="0" borderId="0" xfId="0" applyFont="1"/>
    <xf numFmtId="0" fontId="4" fillId="0" borderId="0" xfId="0" applyFont="1"/>
    <xf numFmtId="0" fontId="9" fillId="0" borderId="0" xfId="0" applyFont="1"/>
    <xf numFmtId="44" fontId="0" fillId="0" borderId="0" xfId="1" applyFont="1"/>
    <xf numFmtId="14" fontId="0" fillId="0" borderId="0" xfId="0" applyNumberFormat="1"/>
    <xf numFmtId="44" fontId="0" fillId="0" borderId="0" xfId="0" applyNumberFormat="1"/>
    <xf numFmtId="0" fontId="7" fillId="3" borderId="0" xfId="0" applyFont="1" applyFill="1"/>
    <xf numFmtId="0" fontId="0" fillId="3" borderId="0" xfId="0" applyFill="1"/>
    <xf numFmtId="0" fontId="11" fillId="0" borderId="0" xfId="0" applyFont="1"/>
    <xf numFmtId="0" fontId="7" fillId="0" borderId="0" xfId="0" applyFont="1"/>
    <xf numFmtId="165" fontId="0" fillId="0" borderId="0" xfId="0" applyNumberFormat="1"/>
    <xf numFmtId="166" fontId="0" fillId="0" borderId="0" xfId="0" applyNumberFormat="1"/>
    <xf numFmtId="0" fontId="12" fillId="0" borderId="0" xfId="2"/>
    <xf numFmtId="0" fontId="13" fillId="0" borderId="0" xfId="2" applyFont="1"/>
    <xf numFmtId="44" fontId="15" fillId="0" borderId="0" xfId="3" applyFont="1"/>
    <xf numFmtId="44" fontId="16" fillId="0" borderId="0" xfId="3" applyFont="1"/>
    <xf numFmtId="0" fontId="13" fillId="0" borderId="0" xfId="2" applyFont="1" applyAlignment="1">
      <alignment horizontal="right"/>
    </xf>
    <xf numFmtId="44" fontId="12" fillId="0" borderId="0" xfId="2" applyNumberFormat="1"/>
    <xf numFmtId="44" fontId="0" fillId="0" borderId="0" xfId="3" applyFont="1"/>
    <xf numFmtId="164" fontId="0" fillId="0" borderId="0" xfId="3" applyNumberFormat="1" applyFont="1"/>
    <xf numFmtId="0" fontId="13" fillId="0" borderId="0" xfId="2" applyFont="1" applyAlignment="1">
      <alignment horizontal="left"/>
    </xf>
    <xf numFmtId="164" fontId="17" fillId="5" borderId="2" xfId="2" applyNumberFormat="1" applyFont="1" applyFill="1" applyBorder="1"/>
    <xf numFmtId="164" fontId="12" fillId="0" borderId="0" xfId="2" applyNumberFormat="1"/>
    <xf numFmtId="44" fontId="18" fillId="0" borderId="0" xfId="2" applyNumberFormat="1" applyFont="1"/>
    <xf numFmtId="0" fontId="19" fillId="0" borderId="0" xfId="2" applyFont="1"/>
    <xf numFmtId="44" fontId="20" fillId="0" borderId="0" xfId="2" applyNumberFormat="1" applyFont="1"/>
    <xf numFmtId="14" fontId="18" fillId="0" borderId="0" xfId="2" applyNumberFormat="1" applyFont="1" applyAlignment="1">
      <alignment horizontal="left"/>
    </xf>
    <xf numFmtId="0" fontId="18" fillId="0" borderId="0" xfId="2" applyFont="1" applyAlignment="1">
      <alignment horizontal="right"/>
    </xf>
    <xf numFmtId="0" fontId="21" fillId="5" borderId="1" xfId="2" applyFont="1" applyFill="1" applyBorder="1" applyAlignment="1">
      <alignment horizontal="center" vertical="center" wrapText="1"/>
    </xf>
    <xf numFmtId="0" fontId="22" fillId="6" borderId="3" xfId="2" applyFont="1" applyFill="1" applyBorder="1" applyAlignment="1">
      <alignment horizontal="center" vertical="center" wrapText="1"/>
    </xf>
    <xf numFmtId="44" fontId="23" fillId="5" borderId="1" xfId="3" applyFont="1" applyFill="1" applyBorder="1" applyAlignment="1">
      <alignment horizontal="center" vertical="center" wrapText="1"/>
    </xf>
    <xf numFmtId="44" fontId="24" fillId="6" borderId="3" xfId="3" applyFont="1" applyFill="1" applyBorder="1" applyAlignment="1">
      <alignment horizontal="center" vertical="center" wrapText="1"/>
    </xf>
    <xf numFmtId="0" fontId="25" fillId="0" borderId="0" xfId="2" applyFont="1"/>
    <xf numFmtId="44" fontId="26" fillId="0" borderId="0" xfId="3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22" fillId="7" borderId="3" xfId="2" applyFont="1" applyFill="1" applyBorder="1" applyAlignment="1">
      <alignment horizontal="center" vertical="center" wrapText="1"/>
    </xf>
    <xf numFmtId="44" fontId="24" fillId="7" borderId="3" xfId="3" applyFont="1" applyFill="1" applyBorder="1" applyAlignment="1">
      <alignment horizontal="center" vertical="center" wrapText="1"/>
    </xf>
    <xf numFmtId="14" fontId="12" fillId="0" borderId="0" xfId="2" applyNumberFormat="1" applyAlignment="1">
      <alignment horizontal="center"/>
    </xf>
    <xf numFmtId="167" fontId="0" fillId="0" borderId="0" xfId="1" applyNumberFormat="1" applyFont="1" applyFill="1"/>
    <xf numFmtId="167" fontId="0" fillId="0" borderId="0" xfId="1" applyNumberFormat="1" applyFont="1"/>
    <xf numFmtId="167" fontId="1" fillId="0" borderId="0" xfId="1" applyNumberFormat="1" applyFont="1" applyFill="1"/>
    <xf numFmtId="167" fontId="0" fillId="0" borderId="0" xfId="0" applyNumberFormat="1"/>
    <xf numFmtId="167" fontId="7" fillId="0" borderId="0" xfId="1" applyNumberFormat="1" applyFont="1"/>
    <xf numFmtId="167" fontId="11" fillId="0" borderId="0" xfId="1" applyNumberFormat="1" applyFont="1"/>
    <xf numFmtId="167" fontId="9" fillId="0" borderId="0" xfId="1" applyNumberFormat="1" applyFont="1"/>
    <xf numFmtId="0" fontId="0" fillId="0" borderId="0" xfId="0" applyAlignment="1">
      <alignment horizontal="left" indent="1"/>
    </xf>
    <xf numFmtId="0" fontId="28" fillId="0" borderId="0" xfId="0" applyFont="1"/>
    <xf numFmtId="43" fontId="0" fillId="0" borderId="0" xfId="4" applyFont="1"/>
    <xf numFmtId="9" fontId="0" fillId="0" borderId="0" xfId="0" applyNumberFormat="1"/>
    <xf numFmtId="43" fontId="0" fillId="0" borderId="0" xfId="0" applyNumberFormat="1"/>
    <xf numFmtId="0" fontId="10" fillId="4" borderId="0" xfId="0" applyFont="1" applyFill="1" applyAlignment="1">
      <alignment horizontal="left"/>
    </xf>
    <xf numFmtId="0" fontId="8" fillId="3" borderId="0" xfId="0" applyFont="1" applyFill="1" applyAlignment="1">
      <alignment horizontal="center" wrapText="1"/>
    </xf>
  </cellXfs>
  <cellStyles count="5">
    <cellStyle name="Comma" xfId="4" builtinId="3"/>
    <cellStyle name="Currency" xfId="1" builtinId="4"/>
    <cellStyle name="Currency 2" xfId="3" xr:uid="{AB129299-DD22-42E4-BC4A-105057967122}"/>
    <cellStyle name="Normal" xfId="0" builtinId="0"/>
    <cellStyle name="Normal 2" xfId="2" xr:uid="{5E8341F8-CD1F-409B-850B-DF21FFD12019}"/>
  </cellStyles>
  <dxfs count="0"/>
  <tableStyles count="0" defaultTableStyle="TableStyleMedium2" defaultPivotStyle="PivotStyleLight16"/>
  <colors>
    <mruColors>
      <color rgb="FFD2F8EC"/>
      <color rgb="FFFFFF99"/>
      <color rgb="FFFFCCCC"/>
      <color rgb="FF009999"/>
      <color rgb="FF006699"/>
      <color rgb="FFFF6600"/>
      <color rgb="FFE0FFC1"/>
      <color rgb="FFCCFF99"/>
      <color rgb="FFDAF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122446</xdr:colOff>
      <xdr:row>0</xdr:row>
      <xdr:rowOff>47625</xdr:rowOff>
    </xdr:from>
    <xdr:to>
      <xdr:col>0</xdr:col>
      <xdr:colOff>876299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B0D6E6-8B6B-4F2E-B6A6-238812BA2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46" y="47625"/>
          <a:ext cx="753853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10C9-CACF-42AF-A2F1-7A01B242D915}">
  <sheetPr>
    <pageSetUpPr fitToPage="1"/>
  </sheetPr>
  <dimension ref="A2:G25"/>
  <sheetViews>
    <sheetView view="pageLayout" zoomScaleNormal="100" workbookViewId="0">
      <selection activeCell="B6" sqref="B6"/>
    </sheetView>
  </sheetViews>
  <sheetFormatPr defaultColWidth="9.140625" defaultRowHeight="12.75" x14ac:dyDescent="0.2"/>
  <cols>
    <col min="1" max="1" width="14.140625" style="18" customWidth="1"/>
    <col min="2" max="2" width="11.85546875" style="18" customWidth="1"/>
    <col min="3" max="3" width="15.85546875" style="18" customWidth="1"/>
    <col min="4" max="4" width="15" style="18" customWidth="1"/>
    <col min="5" max="5" width="14.85546875" style="18" customWidth="1"/>
    <col min="6" max="7" width="10.28515625" style="18" bestFit="1" customWidth="1"/>
    <col min="8" max="16384" width="9.140625" style="18"/>
  </cols>
  <sheetData>
    <row r="2" spans="1:7" x14ac:dyDescent="0.2">
      <c r="B2" s="19" t="s">
        <v>0</v>
      </c>
      <c r="D2" s="20"/>
    </row>
    <row r="3" spans="1:7" x14ac:dyDescent="0.2">
      <c r="B3" s="19"/>
      <c r="D3" s="21"/>
    </row>
    <row r="4" spans="1:7" x14ac:dyDescent="0.2">
      <c r="B4" s="18" t="str">
        <f>Calculator!B24</f>
        <v>Acct balance as at 01-01-24</v>
      </c>
      <c r="C4" s="22"/>
      <c r="D4" s="39">
        <f>Calculator!D24</f>
        <v>0</v>
      </c>
      <c r="E4" s="23"/>
    </row>
    <row r="5" spans="1:7" x14ac:dyDescent="0.2">
      <c r="B5" s="18" t="s">
        <v>1</v>
      </c>
      <c r="C5" s="22"/>
      <c r="D5" s="21">
        <f>Calculator!D12</f>
        <v>11469.04</v>
      </c>
      <c r="E5" s="23"/>
    </row>
    <row r="6" spans="1:7" x14ac:dyDescent="0.2">
      <c r="B6" s="18" t="str">
        <f>Calculator!B25</f>
        <v>Enrolment Deposit (if applicable)</v>
      </c>
      <c r="C6" s="22"/>
      <c r="D6" s="39">
        <f>Calculator!D25</f>
        <v>0</v>
      </c>
      <c r="E6" s="23"/>
    </row>
    <row r="7" spans="1:7" x14ac:dyDescent="0.2">
      <c r="C7" s="22"/>
      <c r="D7" s="21"/>
      <c r="E7" s="23"/>
    </row>
    <row r="8" spans="1:7" x14ac:dyDescent="0.2">
      <c r="B8" s="38" t="s">
        <v>2</v>
      </c>
      <c r="C8" s="22"/>
      <c r="D8" s="21"/>
      <c r="E8" s="23"/>
    </row>
    <row r="9" spans="1:7" x14ac:dyDescent="0.2">
      <c r="B9" s="18" t="s">
        <v>3</v>
      </c>
      <c r="C9" s="22"/>
      <c r="D9" s="21">
        <f>Calculator!D15</f>
        <v>0</v>
      </c>
      <c r="E9" s="23"/>
    </row>
    <row r="10" spans="1:7" x14ac:dyDescent="0.2">
      <c r="B10" s="18" t="s">
        <v>4</v>
      </c>
      <c r="C10" s="22"/>
      <c r="D10" s="21">
        <f>Calculator!D16</f>
        <v>0</v>
      </c>
      <c r="E10" s="23"/>
    </row>
    <row r="11" spans="1:7" x14ac:dyDescent="0.2">
      <c r="B11" s="18" t="s">
        <v>5</v>
      </c>
      <c r="C11" s="22"/>
      <c r="D11" s="21">
        <f>SUM(Calculator!D17:D17)</f>
        <v>0</v>
      </c>
      <c r="E11" s="23"/>
    </row>
    <row r="12" spans="1:7" x14ac:dyDescent="0.2">
      <c r="B12" s="18" t="e">
        <f>Calculator!#REF!</f>
        <v>#REF!</v>
      </c>
      <c r="C12" s="22"/>
      <c r="D12" s="21" t="e">
        <f>Calculator!#REF!</f>
        <v>#REF!</v>
      </c>
      <c r="E12" s="23"/>
    </row>
    <row r="13" spans="1:7" x14ac:dyDescent="0.2">
      <c r="B13" s="18" t="s">
        <v>6</v>
      </c>
      <c r="C13" s="22"/>
      <c r="D13" s="21">
        <f>SUM(Calculator!D20:D22)</f>
        <v>0</v>
      </c>
      <c r="E13" s="23"/>
    </row>
    <row r="14" spans="1:7" ht="15" x14ac:dyDescent="0.25">
      <c r="D14" s="24"/>
      <c r="E14" s="25"/>
      <c r="G14" s="23"/>
    </row>
    <row r="15" spans="1:7" ht="16.5" thickBot="1" x14ac:dyDescent="0.3">
      <c r="B15" s="26" t="s">
        <v>7</v>
      </c>
      <c r="D15" s="27" t="e">
        <f>SUM(D4:D14)</f>
        <v>#REF!</v>
      </c>
      <c r="E15" s="25"/>
      <c r="F15" s="28"/>
    </row>
    <row r="16" spans="1:7" x14ac:dyDescent="0.2">
      <c r="A16" s="19"/>
      <c r="D16" s="29"/>
      <c r="E16" s="23"/>
      <c r="F16" s="28"/>
    </row>
    <row r="17" spans="1:6" ht="15.75" x14ac:dyDescent="0.25">
      <c r="A17" s="30" t="s">
        <v>8</v>
      </c>
      <c r="C17" s="31"/>
      <c r="D17" s="23"/>
      <c r="E17" s="23"/>
      <c r="F17" s="28"/>
    </row>
    <row r="18" spans="1:6" ht="15.75" x14ac:dyDescent="0.25">
      <c r="A18" s="30" t="s">
        <v>9</v>
      </c>
      <c r="C18" s="31"/>
      <c r="D18" s="23"/>
      <c r="E18" s="23"/>
      <c r="F18" s="28"/>
    </row>
    <row r="19" spans="1:6" ht="15.75" x14ac:dyDescent="0.25">
      <c r="A19" s="30"/>
      <c r="C19" s="31"/>
      <c r="D19" s="23"/>
      <c r="E19" s="23"/>
      <c r="F19" s="28"/>
    </row>
    <row r="20" spans="1:6" x14ac:dyDescent="0.2">
      <c r="A20" s="32"/>
      <c r="B20" s="33"/>
      <c r="C20" s="34" t="s">
        <v>10</v>
      </c>
      <c r="D20" s="43" t="s">
        <v>11</v>
      </c>
      <c r="E20" s="35" t="s">
        <v>12</v>
      </c>
    </row>
    <row r="21" spans="1:6" x14ac:dyDescent="0.2">
      <c r="B21" s="45" t="s">
        <v>13</v>
      </c>
      <c r="C21" s="21"/>
      <c r="D21" s="21"/>
      <c r="E21" s="23"/>
    </row>
    <row r="22" spans="1:6" x14ac:dyDescent="0.2">
      <c r="B22" s="45" t="s">
        <v>14</v>
      </c>
      <c r="C22" s="21"/>
      <c r="D22" s="21"/>
      <c r="E22" s="23"/>
    </row>
    <row r="23" spans="1:6" x14ac:dyDescent="0.2">
      <c r="B23" s="45" t="s">
        <v>15</v>
      </c>
      <c r="C23" s="21"/>
      <c r="D23" s="21"/>
      <c r="E23" s="23"/>
    </row>
    <row r="24" spans="1:6" x14ac:dyDescent="0.2">
      <c r="B24" s="45" t="s">
        <v>16</v>
      </c>
      <c r="C24" s="21"/>
    </row>
    <row r="25" spans="1:6" ht="15" x14ac:dyDescent="0.2">
      <c r="C25" s="36">
        <f>SUM(C21:C24)</f>
        <v>0</v>
      </c>
      <c r="D25" s="44">
        <f>SUM(D21:D24)</f>
        <v>0</v>
      </c>
      <c r="E25" s="37">
        <f>SUM(E21:E24)</f>
        <v>0</v>
      </c>
    </row>
  </sheetData>
  <phoneticPr fontId="27" type="noConversion"/>
  <pageMargins left="0.62992125984251968" right="0.23622047244094491" top="0.74803149606299213" bottom="0.74803149606299213" header="0.31496062992125984" footer="0.31496062992125984"/>
  <pageSetup paperSize="9" orientation="portrait" r:id="rId1"/>
  <headerFooter alignWithMargins="0">
    <oddHeader>&amp;C&amp;12 2023
 Payment Plan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zoomScaleNormal="100" workbookViewId="0">
      <selection sqref="A1:E26"/>
    </sheetView>
  </sheetViews>
  <sheetFormatPr defaultRowHeight="15" x14ac:dyDescent="0.25"/>
  <cols>
    <col min="1" max="1" width="6.42578125" customWidth="1"/>
    <col min="2" max="2" width="32.140625" customWidth="1"/>
    <col min="3" max="3" width="18.7109375" customWidth="1"/>
    <col min="4" max="4" width="18.85546875" customWidth="1"/>
    <col min="5" max="5" width="17.140625" customWidth="1"/>
    <col min="6" max="6" width="5" customWidth="1"/>
    <col min="7" max="7" width="10.5703125" hidden="1" customWidth="1"/>
    <col min="8" max="12" width="9.140625" hidden="1" customWidth="1"/>
    <col min="13" max="13" width="13.42578125" hidden="1" customWidth="1"/>
    <col min="14" max="14" width="9.140625" customWidth="1"/>
    <col min="15" max="15" width="0" hidden="1" customWidth="1"/>
  </cols>
  <sheetData>
    <row r="1" spans="1:13" ht="15" customHeight="1" x14ac:dyDescent="0.35">
      <c r="A1" s="58" t="s">
        <v>17</v>
      </c>
      <c r="B1" s="58"/>
      <c r="C1" s="58"/>
      <c r="D1" s="58"/>
      <c r="E1" s="59" t="s">
        <v>18</v>
      </c>
      <c r="F1" s="7"/>
      <c r="G1" s="7"/>
    </row>
    <row r="2" spans="1:13" ht="15" customHeight="1" x14ac:dyDescent="0.35">
      <c r="A2" s="58"/>
      <c r="B2" s="58"/>
      <c r="C2" s="58"/>
      <c r="D2" s="58"/>
      <c r="E2" s="59"/>
      <c r="F2" s="7"/>
      <c r="G2" s="7"/>
    </row>
    <row r="3" spans="1:13" s="2" customFormat="1" ht="18.75" customHeight="1" x14ac:dyDescent="0.25">
      <c r="C3" s="3" t="s">
        <v>19</v>
      </c>
      <c r="D3" s="3" t="s">
        <v>20</v>
      </c>
      <c r="L3" s="5" t="b">
        <f>IF(C4='Source Data'!A6,"Y",IF(C5='Source Data'!A6,"Y",IF(C6='Source Data'!A6,"Y",IF(C7='Source Data'!A6,"Y",IF(C8='Source Data'!A6,"Y",IF(C9='Source Data'!A6,"Y",IF(C4='Source Data'!A7,"Y",IF(C5='Source Data'!A7,"Y",IF(C6='Source Data'!A7,"Y",IF(C7='Source Data'!A7,"Y",IF(C8='Source Data'!A7,"Y",IF(C9='Source Data'!A7,"Y""N"))))))))))))</f>
        <v>0</v>
      </c>
      <c r="M3" s="5">
        <f>IF(L3="Y",15391,12377)</f>
        <v>12377</v>
      </c>
    </row>
    <row r="4" spans="1:13" x14ac:dyDescent="0.25">
      <c r="B4" t="s">
        <v>21</v>
      </c>
      <c r="C4" s="12" t="s">
        <v>22</v>
      </c>
      <c r="D4" s="46">
        <f>VLOOKUP(C4,'Source Data'!$A$2:$B$8,2,FALSE)</f>
        <v>6478</v>
      </c>
      <c r="E4" s="11"/>
    </row>
    <row r="5" spans="1:13" x14ac:dyDescent="0.25">
      <c r="B5" t="s">
        <v>23</v>
      </c>
      <c r="C5" s="12" t="s">
        <v>22</v>
      </c>
      <c r="D5" s="47">
        <f>IFERROR(IF($C5='Source Data'!$A$6,'Source Data'!$B$6,IF(Calculator!$C5='Source Data'!$A$7,'Source Data'!$B$7,(VLOOKUP($C5,'Source Data'!$A$2:$B$8,2,FALSE))*'Source Data'!E3)),0)</f>
        <v>4405.04</v>
      </c>
      <c r="E5" s="11"/>
      <c r="G5" s="11"/>
    </row>
    <row r="6" spans="1:13" x14ac:dyDescent="0.25">
      <c r="B6" t="s">
        <v>24</v>
      </c>
      <c r="C6" s="12" t="s">
        <v>25</v>
      </c>
      <c r="D6" s="47">
        <f>IFERROR(IF($C6='Source Data'!$A$6,'Source Data'!$B$6,IF(Calculator!$C6='Source Data'!$A$7,'Source Data'!$B$7,(VLOOKUP($C6,'Source Data'!$A$2:$B$8,2,FALSE))*'Source Data'!E4)),0)</f>
        <v>0</v>
      </c>
      <c r="E6" s="11"/>
      <c r="G6" s="11"/>
    </row>
    <row r="7" spans="1:13" x14ac:dyDescent="0.25">
      <c r="B7" t="s">
        <v>26</v>
      </c>
      <c r="C7" s="12" t="s">
        <v>25</v>
      </c>
      <c r="D7" s="47">
        <f>IFERROR(IF($C7='Source Data'!$A$6,'Source Data'!$B$6,IF(Calculator!$C7='Source Data'!$A$7,'Source Data'!$B$7,(VLOOKUP($C7,'Source Data'!$A$2:$B$8,2,FALSE))*'Source Data'!E5)),0)</f>
        <v>0</v>
      </c>
      <c r="E7" s="11"/>
      <c r="G7" s="11"/>
    </row>
    <row r="8" spans="1:13" x14ac:dyDescent="0.25">
      <c r="B8" t="s">
        <v>27</v>
      </c>
      <c r="C8" s="12" t="s">
        <v>25</v>
      </c>
      <c r="D8" s="47">
        <f>IFERROR(IF($C8='Source Data'!$A$6,'Source Data'!$B$6,IF(Calculator!$C8='Source Data'!$A$7,'Source Data'!$B$7,(VLOOKUP($C8,'Source Data'!$A$2:$B$8,2,FALSE))*'Source Data'!E6)),0)</f>
        <v>0</v>
      </c>
      <c r="E8" s="16"/>
      <c r="G8" s="11"/>
    </row>
    <row r="9" spans="1:13" x14ac:dyDescent="0.25">
      <c r="B9" t="s">
        <v>28</v>
      </c>
      <c r="C9" s="12" t="s">
        <v>25</v>
      </c>
      <c r="D9" s="47">
        <f>IFERROR(IF($C9='Source Data'!$A$6,'Source Data'!$B$6,IF(Calculator!$C9='Source Data'!$A$7,'Source Data'!$B$7,(VLOOKUP($C9,'Source Data'!$A$2:$B$8,2,FALSE))*'Source Data'!E7)),0)</f>
        <v>0</v>
      </c>
      <c r="E9" s="16"/>
    </row>
    <row r="10" spans="1:13" x14ac:dyDescent="0.25">
      <c r="D10" s="9"/>
      <c r="E10" s="11"/>
    </row>
    <row r="11" spans="1:13" x14ac:dyDescent="0.25">
      <c r="B11" s="1" t="s">
        <v>29</v>
      </c>
      <c r="D11" s="47">
        <f>IF(SUM(D4:D9)=0,0,IF(SUM(D4:D9)=4000,0,586))</f>
        <v>586</v>
      </c>
      <c r="E11" s="11"/>
    </row>
    <row r="12" spans="1:13" x14ac:dyDescent="0.25">
      <c r="B12" s="4" t="s">
        <v>30</v>
      </c>
      <c r="C12" s="4"/>
      <c r="D12" s="48">
        <f>SUM(D4:D11)</f>
        <v>11469.04</v>
      </c>
      <c r="E12" s="17"/>
    </row>
    <row r="13" spans="1:13" x14ac:dyDescent="0.25">
      <c r="D13" s="47"/>
      <c r="E13" s="11"/>
    </row>
    <row r="14" spans="1:13" x14ac:dyDescent="0.25">
      <c r="B14" s="4" t="s">
        <v>31</v>
      </c>
      <c r="D14" s="47"/>
      <c r="E14" s="11"/>
    </row>
    <row r="15" spans="1:13" x14ac:dyDescent="0.25">
      <c r="B15" t="s">
        <v>32</v>
      </c>
      <c r="C15" s="13" t="s">
        <v>25</v>
      </c>
      <c r="D15" s="47">
        <f>IFERROR(VLOOKUP(C15,'Source Data'!$A$11:$B$14,2,FALSE),0)</f>
        <v>0</v>
      </c>
      <c r="E15" s="11"/>
    </row>
    <row r="16" spans="1:13" x14ac:dyDescent="0.25">
      <c r="B16" t="s">
        <v>4</v>
      </c>
      <c r="C16" s="13" t="s">
        <v>25</v>
      </c>
      <c r="D16" s="47">
        <f>IFERROR(VLOOKUP(C16,'Source Data'!$A$11:$B$14,2,FALSE),0)</f>
        <v>0</v>
      </c>
      <c r="E16" s="11"/>
    </row>
    <row r="17" spans="2:5" x14ac:dyDescent="0.25">
      <c r="B17" t="s">
        <v>33</v>
      </c>
      <c r="C17" s="13" t="s">
        <v>25</v>
      </c>
      <c r="D17" s="47">
        <f>IFERROR(VLOOKUP(C17,'Source Data'!$A$11:$B$14,2,FALSE),0)</f>
        <v>0</v>
      </c>
      <c r="E17" s="11"/>
    </row>
    <row r="18" spans="2:5" x14ac:dyDescent="0.25">
      <c r="D18" s="49"/>
      <c r="E18" s="11"/>
    </row>
    <row r="19" spans="2:5" x14ac:dyDescent="0.25">
      <c r="B19" s="4" t="s">
        <v>34</v>
      </c>
      <c r="D19" s="49"/>
      <c r="E19" s="11"/>
    </row>
    <row r="20" spans="2:5" x14ac:dyDescent="0.25">
      <c r="B20" s="15" t="s">
        <v>35</v>
      </c>
      <c r="C20" s="12" t="s">
        <v>25</v>
      </c>
      <c r="D20" s="50">
        <f>IFERROR(VLOOKUP(C20,'Source Data'!$A$17:$B$21,2,FALSE),0)</f>
        <v>0</v>
      </c>
      <c r="E20" s="11"/>
    </row>
    <row r="21" spans="2:5" x14ac:dyDescent="0.25">
      <c r="B21" s="15" t="s">
        <v>36</v>
      </c>
      <c r="C21" s="12" t="s">
        <v>25</v>
      </c>
      <c r="D21" s="50">
        <f>IFERROR(VLOOKUP(C21,'Source Data'!$A$17:$B$21,2,FALSE),0)</f>
        <v>0</v>
      </c>
      <c r="E21" s="11"/>
    </row>
    <row r="22" spans="2:5" x14ac:dyDescent="0.25">
      <c r="B22" s="15" t="s">
        <v>37</v>
      </c>
      <c r="C22" s="12" t="s">
        <v>25</v>
      </c>
      <c r="D22" s="50">
        <f>IFERROR(VLOOKUP(C22,'Source Data'!$A$17:$B$21,2,FALSE),0)</f>
        <v>0</v>
      </c>
      <c r="E22" s="11"/>
    </row>
    <row r="23" spans="2:5" x14ac:dyDescent="0.25">
      <c r="D23" s="49"/>
    </row>
    <row r="24" spans="2:5" x14ac:dyDescent="0.25">
      <c r="B24" t="s">
        <v>38</v>
      </c>
      <c r="C24" s="14"/>
      <c r="D24" s="51">
        <v>0</v>
      </c>
    </row>
    <row r="25" spans="2:5" x14ac:dyDescent="0.25">
      <c r="B25" t="s">
        <v>39</v>
      </c>
      <c r="C25" s="14"/>
      <c r="D25" s="51">
        <v>0</v>
      </c>
    </row>
    <row r="26" spans="2:5" ht="18" customHeight="1" x14ac:dyDescent="0.25">
      <c r="B26" s="8" t="s">
        <v>40</v>
      </c>
      <c r="C26" s="6"/>
      <c r="D26" s="52">
        <f>SUM(D15:D25)+D12</f>
        <v>11469.04</v>
      </c>
    </row>
    <row r="29" spans="2:5" x14ac:dyDescent="0.25">
      <c r="C29" s="10"/>
    </row>
  </sheetData>
  <sheetProtection algorithmName="SHA-512" hashValue="TS2TNW4NXtoVYNgjxOH0l2/M+Aq0umfgiJqKKlLvtQvAbiqb6YsgY9ig01jkn0iWknybRxnvI+jIzEI/MOK6JQ==" saltValue="HxTKws5LIRPGt5Y6f+Fk0w==" spinCount="100000" sheet="1" objects="1" scenarios="1"/>
  <protectedRanges>
    <protectedRange sqref="C4:C26" name="Range1"/>
  </protectedRanges>
  <mergeCells count="2">
    <mergeCell ref="A1:D2"/>
    <mergeCell ref="E1:E2"/>
  </mergeCells>
  <pageMargins left="0.25" right="0.25" top="0.75" bottom="0.75" header="0.3" footer="0.3"/>
  <pageSetup paperSize="9" orientation="portrait" r:id="rId1"/>
  <headerFooter>
    <oddHeader>&amp;C
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'Source Data'!$A$2:$A$6</xm:f>
          </x14:formula1>
          <xm:sqref>C10</xm:sqref>
        </x14:dataValidation>
        <x14:dataValidation type="list" allowBlank="1" showInputMessage="1" showErrorMessage="1" xr:uid="{00000000-0002-0000-0000-000003000000}">
          <x14:formula1>
            <xm:f>'Source Data'!$A$2:$A$8</xm:f>
          </x14:formula1>
          <xm:sqref>C4:C9</xm:sqref>
        </x14:dataValidation>
        <x14:dataValidation type="list" allowBlank="1" showInputMessage="1" showErrorMessage="1" xr:uid="{00000000-0002-0000-0000-000005000000}">
          <x14:formula1>
            <xm:f>'Source Data'!$A$17:$A$22</xm:f>
          </x14:formula1>
          <xm:sqref>C20:C22</xm:sqref>
        </x14:dataValidation>
        <x14:dataValidation type="list" allowBlank="1" showInputMessage="1" showErrorMessage="1" xr:uid="{00000000-0002-0000-0000-000006000000}">
          <x14:formula1>
            <xm:f>'Source Data'!$A$17:$A$21</xm:f>
          </x14:formula1>
          <xm:sqref>C23:C25</xm:sqref>
        </x14:dataValidation>
        <x14:dataValidation type="list" allowBlank="1" showInputMessage="1" showErrorMessage="1" xr:uid="{CD46EAB4-3930-4DEB-8EE7-5C9FABAAF421}">
          <x14:formula1>
            <xm:f>'Source Data'!$A$11:$A$14</xm:f>
          </x14:formula1>
          <xm:sqref>C15:C16</xm:sqref>
        </x14:dataValidation>
        <x14:dataValidation type="list" allowBlank="1" showInputMessage="1" showErrorMessage="1" xr:uid="{00000000-0002-0000-0000-000007000000}">
          <x14:formula1>
            <xm:f>'Source Data'!#REF!</xm:f>
          </x14:formula1>
          <xm:sqref>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B190-363C-4E8E-BD6B-529DF946D31A}">
  <dimension ref="A1:F31"/>
  <sheetViews>
    <sheetView tabSelected="1" workbookViewId="0">
      <selection activeCell="G10" sqref="G10"/>
    </sheetView>
  </sheetViews>
  <sheetFormatPr defaultRowHeight="15" x14ac:dyDescent="0.25"/>
  <cols>
    <col min="1" max="1" width="5.140625" customWidth="1"/>
    <col min="2" max="2" width="24.5703125" customWidth="1"/>
    <col min="3" max="3" width="26" customWidth="1"/>
    <col min="4" max="4" width="11.85546875" customWidth="1"/>
    <col min="5" max="5" width="14.140625" customWidth="1"/>
  </cols>
  <sheetData>
    <row r="1" spans="1:6" x14ac:dyDescent="0.25">
      <c r="A1" s="58" t="s">
        <v>66</v>
      </c>
      <c r="B1" s="58"/>
      <c r="C1" s="58"/>
      <c r="D1" s="58"/>
      <c r="E1" s="59" t="s">
        <v>18</v>
      </c>
    </row>
    <row r="2" spans="1:6" x14ac:dyDescent="0.25">
      <c r="A2" s="58"/>
      <c r="B2" s="58"/>
      <c r="C2" s="58"/>
      <c r="D2" s="58"/>
      <c r="E2" s="59"/>
    </row>
    <row r="3" spans="1:6" ht="30" x14ac:dyDescent="0.25">
      <c r="A3" s="2"/>
      <c r="B3" s="2"/>
      <c r="C3" s="3" t="s">
        <v>19</v>
      </c>
      <c r="D3" s="3" t="s">
        <v>20</v>
      </c>
      <c r="E3" s="2"/>
    </row>
    <row r="4" spans="1:6" x14ac:dyDescent="0.25">
      <c r="B4" t="s">
        <v>21</v>
      </c>
      <c r="C4" s="12" t="s">
        <v>25</v>
      </c>
      <c r="D4" s="46">
        <f>VLOOKUP(C4,'Source Data'!$A$2:$B$8,2,FALSE)</f>
        <v>0</v>
      </c>
      <c r="E4" s="11"/>
    </row>
    <row r="5" spans="1:6" x14ac:dyDescent="0.25">
      <c r="B5" t="s">
        <v>23</v>
      </c>
      <c r="C5" s="12" t="s">
        <v>25</v>
      </c>
      <c r="D5" s="47">
        <f>IFERROR(IF($C5='Source Data'!$A$7,'Source Data'!$B$7,VLOOKUP($C5,'Source Data'!$A$2:$B$8,2,FALSE)*'Source Data'!E3),0)</f>
        <v>0</v>
      </c>
      <c r="E5" s="11"/>
      <c r="F5" s="56"/>
    </row>
    <row r="6" spans="1:6" x14ac:dyDescent="0.25">
      <c r="B6" t="s">
        <v>24</v>
      </c>
      <c r="C6" s="12" t="s">
        <v>25</v>
      </c>
      <c r="D6" s="47">
        <f>IFERROR(IF($C6='Source Data'!$A$7,'Source Data'!$B$7,VLOOKUP($C6,'Source Data'!$A$2:$B$8,2,FALSE)*'Source Data'!E4),0)</f>
        <v>0</v>
      </c>
      <c r="E6" s="11"/>
      <c r="F6" s="56"/>
    </row>
    <row r="7" spans="1:6" x14ac:dyDescent="0.25">
      <c r="B7" t="s">
        <v>26</v>
      </c>
      <c r="C7" s="12" t="s">
        <v>25</v>
      </c>
      <c r="D7" s="47">
        <f>IFERROR(IF($C7='Source Data'!$A$7,'Source Data'!$B$7,VLOOKUP($C7,'Source Data'!$A$2:$B$8,2,FALSE)*'Source Data'!E5),0)</f>
        <v>0</v>
      </c>
      <c r="E7" s="11"/>
    </row>
    <row r="8" spans="1:6" x14ac:dyDescent="0.25">
      <c r="B8" t="s">
        <v>27</v>
      </c>
      <c r="C8" s="12" t="s">
        <v>25</v>
      </c>
      <c r="D8" s="47">
        <f>IFERROR(IF($C8='Source Data'!$A$7,'Source Data'!$B$7,VLOOKUP($C8,'Source Data'!$A$2:$B$8,2,FALSE)*'Source Data'!E6),0)</f>
        <v>0</v>
      </c>
      <c r="E8" s="16"/>
    </row>
    <row r="9" spans="1:6" x14ac:dyDescent="0.25">
      <c r="B9" t="s">
        <v>28</v>
      </c>
      <c r="C9" s="12" t="s">
        <v>25</v>
      </c>
      <c r="D9" s="47">
        <f>IFERROR(IF($C9='Source Data'!$A$7,'Source Data'!$B$7,VLOOKUP($C9,'Source Data'!$A$2:$B$8,2,FALSE)*'Source Data'!E7),0)</f>
        <v>0</v>
      </c>
      <c r="E9" s="16"/>
    </row>
    <row r="10" spans="1:6" x14ac:dyDescent="0.25">
      <c r="D10" s="9"/>
      <c r="E10" s="11"/>
    </row>
    <row r="11" spans="1:6" x14ac:dyDescent="0.25">
      <c r="B11" s="1" t="s">
        <v>43</v>
      </c>
      <c r="D11" s="47">
        <f>IF(SUM(D4:D9)=0,0,IF(SUM(D4:D9)=4830,0,633))</f>
        <v>0</v>
      </c>
      <c r="E11" s="11"/>
    </row>
    <row r="12" spans="1:6" x14ac:dyDescent="0.25">
      <c r="B12" s="4" t="s">
        <v>30</v>
      </c>
      <c r="C12" s="4"/>
      <c r="D12" s="48">
        <f>SUM(D4:D11)</f>
        <v>0</v>
      </c>
      <c r="E12" s="17"/>
    </row>
    <row r="13" spans="1:6" x14ac:dyDescent="0.25">
      <c r="D13" s="47"/>
      <c r="E13" s="11"/>
    </row>
    <row r="14" spans="1:6" x14ac:dyDescent="0.25">
      <c r="B14" s="4" t="s">
        <v>67</v>
      </c>
      <c r="D14" s="47"/>
      <c r="E14" s="11"/>
    </row>
    <row r="15" spans="1:6" x14ac:dyDescent="0.25">
      <c r="B15" t="s">
        <v>64</v>
      </c>
      <c r="C15" s="13" t="s">
        <v>25</v>
      </c>
      <c r="D15" s="47">
        <f>IFERROR(VLOOKUP(C15,'Source Data'!$A$11:$B$14,2,FALSE),0)</f>
        <v>0</v>
      </c>
      <c r="E15" s="11"/>
    </row>
    <row r="16" spans="1:6" x14ac:dyDescent="0.25">
      <c r="B16" t="s">
        <v>4</v>
      </c>
      <c r="C16" s="13" t="s">
        <v>25</v>
      </c>
      <c r="D16" s="47">
        <f>IFERROR(VLOOKUP(C16,'Source Data'!$A$11:$B$14,2,FALSE),0)</f>
        <v>0</v>
      </c>
      <c r="E16" s="11"/>
    </row>
    <row r="17" spans="2:5" x14ac:dyDescent="0.25">
      <c r="B17" t="s">
        <v>68</v>
      </c>
      <c r="C17" s="13" t="s">
        <v>25</v>
      </c>
      <c r="D17" s="47">
        <f>IFERROR(VLOOKUP(C17,'Source Data'!$A$11:$B$14,2,FALSE),0)</f>
        <v>0</v>
      </c>
      <c r="E17" s="11"/>
    </row>
    <row r="18" spans="2:5" x14ac:dyDescent="0.25">
      <c r="D18" s="49"/>
      <c r="E18" s="11"/>
    </row>
    <row r="19" spans="2:5" x14ac:dyDescent="0.25">
      <c r="B19" s="4" t="s">
        <v>34</v>
      </c>
      <c r="D19" s="49"/>
      <c r="E19" s="11"/>
    </row>
    <row r="20" spans="2:5" x14ac:dyDescent="0.25">
      <c r="B20" s="15" t="s">
        <v>35</v>
      </c>
      <c r="C20" s="12" t="s">
        <v>25</v>
      </c>
      <c r="D20" s="50">
        <f>IFERROR(VLOOKUP(C20,'Source Data'!$A$17:$B$21,2,FALSE),0)</f>
        <v>0</v>
      </c>
      <c r="E20" s="11"/>
    </row>
    <row r="21" spans="2:5" x14ac:dyDescent="0.25">
      <c r="B21" s="15" t="s">
        <v>36</v>
      </c>
      <c r="C21" s="12" t="s">
        <v>25</v>
      </c>
      <c r="D21" s="50">
        <f>IFERROR(VLOOKUP(C21,'Source Data'!$A$17:$B$21,2,FALSE),0)</f>
        <v>0</v>
      </c>
      <c r="E21" s="11"/>
    </row>
    <row r="22" spans="2:5" x14ac:dyDescent="0.25">
      <c r="B22" s="15" t="s">
        <v>37</v>
      </c>
      <c r="C22" s="12" t="s">
        <v>25</v>
      </c>
      <c r="D22" s="50">
        <f>IFERROR(VLOOKUP(C22,'Source Data'!$A$17:$B$21,2,FALSE),0)</f>
        <v>0</v>
      </c>
      <c r="E22" s="11"/>
    </row>
    <row r="23" spans="2:5" x14ac:dyDescent="0.25">
      <c r="D23" s="49"/>
    </row>
    <row r="24" spans="2:5" x14ac:dyDescent="0.25">
      <c r="B24" t="s">
        <v>44</v>
      </c>
      <c r="C24" s="14"/>
      <c r="D24" s="51">
        <v>0</v>
      </c>
    </row>
    <row r="25" spans="2:5" x14ac:dyDescent="0.25">
      <c r="B25" t="s">
        <v>39</v>
      </c>
      <c r="C25" s="14"/>
      <c r="D25" s="51">
        <v>0</v>
      </c>
    </row>
    <row r="26" spans="2:5" x14ac:dyDescent="0.25">
      <c r="B26" s="8" t="s">
        <v>65</v>
      </c>
      <c r="C26" s="6"/>
      <c r="D26" s="52">
        <f>SUM(D15:D25)+D12</f>
        <v>0</v>
      </c>
    </row>
    <row r="28" spans="2:5" x14ac:dyDescent="0.25">
      <c r="B28" s="54" t="s">
        <v>45</v>
      </c>
    </row>
    <row r="29" spans="2:5" x14ac:dyDescent="0.25">
      <c r="B29" s="53" t="s">
        <v>46</v>
      </c>
      <c r="D29" s="11">
        <f>D26/46</f>
        <v>0</v>
      </c>
    </row>
    <row r="30" spans="2:5" x14ac:dyDescent="0.25">
      <c r="B30" s="53" t="s">
        <v>47</v>
      </c>
      <c r="D30" s="11">
        <f>D26/23</f>
        <v>0</v>
      </c>
    </row>
    <row r="31" spans="2:5" x14ac:dyDescent="0.25">
      <c r="B31" s="53" t="s">
        <v>48</v>
      </c>
      <c r="D31" s="11">
        <f>D26/11</f>
        <v>0</v>
      </c>
    </row>
  </sheetData>
  <protectedRanges>
    <protectedRange sqref="C4:C26" name="Range1"/>
  </protectedRanges>
  <mergeCells count="2">
    <mergeCell ref="A1:D2"/>
    <mergeCell ref="E1:E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7FA42BC-9AB8-47AD-97CD-BF95EF860FFB}">
          <x14:formula1>
            <xm:f>'Source Data'!$A$11:$A$14</xm:f>
          </x14:formula1>
          <xm:sqref>C15:C17</xm:sqref>
        </x14:dataValidation>
        <x14:dataValidation type="list" allowBlank="1" showInputMessage="1" showErrorMessage="1" xr:uid="{49393335-D0D4-49DA-84D4-DB4ED507294A}">
          <x14:formula1>
            <xm:f>'Source Data'!$A$17:$A$21</xm:f>
          </x14:formula1>
          <xm:sqref>C23:C25</xm:sqref>
        </x14:dataValidation>
        <x14:dataValidation type="list" allowBlank="1" showInputMessage="1" showErrorMessage="1" xr:uid="{5F57F968-C190-45D5-9714-9F2BDA8C8FD4}">
          <x14:formula1>
            <xm:f>'Source Data'!$A$17:$A$22</xm:f>
          </x14:formula1>
          <xm:sqref>C20:C22</xm:sqref>
        </x14:dataValidation>
        <x14:dataValidation type="list" allowBlank="1" showInputMessage="1" showErrorMessage="1" xr:uid="{06E5C7F0-F460-4062-A652-79980344D2EF}">
          <x14:formula1>
            <xm:f>'Source Data'!$A$2:$A$8</xm:f>
          </x14:formula1>
          <xm:sqref>C4:C9</xm:sqref>
        </x14:dataValidation>
        <x14:dataValidation type="list" allowBlank="1" showInputMessage="1" showErrorMessage="1" xr:uid="{D0EEF9DB-9B32-4364-A13A-31E0073D8255}">
          <x14:formula1>
            <xm:f>'Source Data'!$A$2:$A$6</xm:f>
          </x14:formula1>
          <xm:sqref>C10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7" sqref="B7"/>
    </sheetView>
  </sheetViews>
  <sheetFormatPr defaultRowHeight="15" x14ac:dyDescent="0.25"/>
  <cols>
    <col min="1" max="1" width="26.7109375" customWidth="1"/>
    <col min="2" max="2" width="10.42578125" customWidth="1"/>
    <col min="3" max="3" width="12.85546875" customWidth="1"/>
    <col min="7" max="7" width="30.28515625" bestFit="1" customWidth="1"/>
  </cols>
  <sheetData>
    <row r="1" spans="1:9" x14ac:dyDescent="0.25">
      <c r="A1" s="4" t="s">
        <v>49</v>
      </c>
      <c r="D1" t="s">
        <v>50</v>
      </c>
    </row>
    <row r="2" spans="1:9" x14ac:dyDescent="0.25">
      <c r="A2" t="s">
        <v>22</v>
      </c>
      <c r="B2" s="41">
        <v>6478</v>
      </c>
      <c r="C2">
        <f>B2/4</f>
        <v>1619.5</v>
      </c>
      <c r="D2">
        <v>1</v>
      </c>
      <c r="E2">
        <v>1</v>
      </c>
      <c r="I2" s="40"/>
    </row>
    <row r="3" spans="1:9" x14ac:dyDescent="0.25">
      <c r="A3" t="s">
        <v>51</v>
      </c>
      <c r="B3" s="41">
        <v>5086</v>
      </c>
      <c r="C3">
        <f t="shared" ref="C3:C7" si="0">B3/4</f>
        <v>1271.5</v>
      </c>
      <c r="D3">
        <v>2</v>
      </c>
      <c r="E3">
        <v>0.68</v>
      </c>
      <c r="I3" s="40"/>
    </row>
    <row r="4" spans="1:9" x14ac:dyDescent="0.25">
      <c r="A4" t="s">
        <v>52</v>
      </c>
      <c r="B4" s="41">
        <v>3874</v>
      </c>
      <c r="C4">
        <f t="shared" si="0"/>
        <v>968.5</v>
      </c>
      <c r="D4">
        <v>3</v>
      </c>
      <c r="E4">
        <v>0.57999999999999996</v>
      </c>
    </row>
    <row r="5" spans="1:9" x14ac:dyDescent="0.25">
      <c r="A5" t="s">
        <v>41</v>
      </c>
      <c r="B5" s="41">
        <v>3272</v>
      </c>
      <c r="C5">
        <f t="shared" si="0"/>
        <v>818</v>
      </c>
      <c r="D5">
        <v>4</v>
      </c>
      <c r="E5">
        <v>0</v>
      </c>
      <c r="F5">
        <v>0</v>
      </c>
      <c r="I5">
        <v>352</v>
      </c>
    </row>
    <row r="6" spans="1:9" x14ac:dyDescent="0.25">
      <c r="A6" t="s">
        <v>42</v>
      </c>
      <c r="B6" s="41">
        <v>0</v>
      </c>
      <c r="C6">
        <f t="shared" si="0"/>
        <v>0</v>
      </c>
      <c r="D6">
        <v>5</v>
      </c>
      <c r="E6">
        <v>0</v>
      </c>
      <c r="I6">
        <v>587</v>
      </c>
    </row>
    <row r="7" spans="1:9" x14ac:dyDescent="0.25">
      <c r="A7" t="s">
        <v>53</v>
      </c>
      <c r="B7" s="41">
        <f>4600*1.05</f>
        <v>4830</v>
      </c>
      <c r="C7">
        <f t="shared" si="0"/>
        <v>1207.5</v>
      </c>
      <c r="D7">
        <v>6</v>
      </c>
      <c r="E7">
        <v>0</v>
      </c>
    </row>
    <row r="8" spans="1:9" x14ac:dyDescent="0.25">
      <c r="A8" t="s">
        <v>25</v>
      </c>
      <c r="B8" s="40">
        <v>0</v>
      </c>
    </row>
    <row r="9" spans="1:9" x14ac:dyDescent="0.25">
      <c r="B9" s="40"/>
    </row>
    <row r="10" spans="1:9" x14ac:dyDescent="0.25">
      <c r="A10" s="4" t="s">
        <v>54</v>
      </c>
      <c r="B10" s="40" t="s">
        <v>55</v>
      </c>
      <c r="C10" s="42" t="s">
        <v>56</v>
      </c>
    </row>
    <row r="11" spans="1:9" x14ac:dyDescent="0.25">
      <c r="A11" t="s">
        <v>64</v>
      </c>
      <c r="B11" s="40">
        <v>325</v>
      </c>
      <c r="C11">
        <f>B11/4</f>
        <v>81.25</v>
      </c>
    </row>
    <row r="12" spans="1:9" x14ac:dyDescent="0.25">
      <c r="A12" t="s">
        <v>57</v>
      </c>
      <c r="B12" s="40">
        <v>325</v>
      </c>
      <c r="C12">
        <f>B12/4</f>
        <v>81.25</v>
      </c>
    </row>
    <row r="13" spans="1:9" x14ac:dyDescent="0.25">
      <c r="A13" t="s">
        <v>32</v>
      </c>
      <c r="B13" s="40">
        <v>325</v>
      </c>
      <c r="C13">
        <v>81.25</v>
      </c>
    </row>
    <row r="14" spans="1:9" x14ac:dyDescent="0.25">
      <c r="A14" t="s">
        <v>25</v>
      </c>
      <c r="B14" s="40">
        <v>0</v>
      </c>
      <c r="C14">
        <f t="shared" ref="C14" si="1">B14/4</f>
        <v>0</v>
      </c>
    </row>
    <row r="16" spans="1:9" x14ac:dyDescent="0.25">
      <c r="A16" s="4" t="s">
        <v>58</v>
      </c>
      <c r="B16" s="42" t="s">
        <v>55</v>
      </c>
      <c r="C16" s="42" t="s">
        <v>56</v>
      </c>
    </row>
    <row r="17" spans="1:4" x14ac:dyDescent="0.25">
      <c r="A17" t="s">
        <v>59</v>
      </c>
      <c r="B17" s="55">
        <f>ROUND((755*1.04),0)</f>
        <v>785</v>
      </c>
      <c r="C17" s="55">
        <f>B17/4</f>
        <v>196.25</v>
      </c>
      <c r="D17" s="57">
        <f>C17/8</f>
        <v>24.53125</v>
      </c>
    </row>
    <row r="18" spans="1:4" x14ac:dyDescent="0.25">
      <c r="A18" t="s">
        <v>60</v>
      </c>
      <c r="B18" s="55">
        <f>ROUND((1336*1.04),0)</f>
        <v>1389</v>
      </c>
      <c r="C18" s="55">
        <f t="shared" ref="C18:C21" si="2">B18/4</f>
        <v>347.25</v>
      </c>
      <c r="D18" s="57">
        <f t="shared" ref="D18:D21" si="3">C18/8</f>
        <v>43.40625</v>
      </c>
    </row>
    <row r="19" spans="1:4" x14ac:dyDescent="0.25">
      <c r="A19" t="s">
        <v>61</v>
      </c>
      <c r="B19" s="55">
        <f>ROUND((1956*1.04),0)</f>
        <v>2034</v>
      </c>
      <c r="C19" s="55">
        <f t="shared" si="2"/>
        <v>508.5</v>
      </c>
      <c r="D19" s="57">
        <f t="shared" si="3"/>
        <v>63.5625</v>
      </c>
    </row>
    <row r="20" spans="1:4" x14ac:dyDescent="0.25">
      <c r="A20" t="s">
        <v>62</v>
      </c>
      <c r="B20" s="55">
        <f>ROUND((2591*1.04),0)</f>
        <v>2695</v>
      </c>
      <c r="C20" s="55">
        <f t="shared" si="2"/>
        <v>673.75</v>
      </c>
      <c r="D20" s="57">
        <f t="shared" si="3"/>
        <v>84.21875</v>
      </c>
    </row>
    <row r="21" spans="1:4" x14ac:dyDescent="0.25">
      <c r="A21" t="s">
        <v>63</v>
      </c>
      <c r="B21" s="55">
        <f>ROUND((755*1.04),0)</f>
        <v>785</v>
      </c>
      <c r="C21" s="55">
        <f t="shared" si="2"/>
        <v>196.25</v>
      </c>
      <c r="D21" s="57">
        <f t="shared" si="3"/>
        <v>24.53125</v>
      </c>
    </row>
    <row r="22" spans="1:4" x14ac:dyDescent="0.25">
      <c r="A22" t="s">
        <v>25</v>
      </c>
      <c r="B22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PPlan Summary</vt:lpstr>
      <vt:lpstr>Calculator</vt:lpstr>
      <vt:lpstr>Calculator2</vt:lpstr>
      <vt:lpstr>Source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Evans</dc:creator>
  <cp:keywords/>
  <dc:description/>
  <cp:lastModifiedBy>Katrina Jones</cp:lastModifiedBy>
  <cp:revision/>
  <dcterms:created xsi:type="dcterms:W3CDTF">2016-11-23T08:26:50Z</dcterms:created>
  <dcterms:modified xsi:type="dcterms:W3CDTF">2025-11-18T02:07:52Z</dcterms:modified>
  <cp:category/>
  <cp:contentStatus/>
</cp:coreProperties>
</file>